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19" activeTab="0"/>
  </bookViews>
  <sheets>
    <sheet name="322" sheetId="1" r:id="rId1"/>
    <sheet name="326" sheetId="2" r:id="rId2"/>
    <sheet name="321" sheetId="3" r:id="rId3"/>
    <sheet name="СТИПЕНДИИ 2023" sheetId="4" r:id="rId4"/>
  </sheets>
  <definedNames/>
  <calcPr fullCalcOnLoad="1"/>
</workbook>
</file>

<file path=xl/sharedStrings.xml><?xml version="1.0" encoding="utf-8"?>
<sst xmlns="http://schemas.openxmlformats.org/spreadsheetml/2006/main" count="73" uniqueCount="62">
  <si>
    <t>Училище</t>
  </si>
  <si>
    <t xml:space="preserve"> Общо средства по формула</t>
  </si>
  <si>
    <t xml:space="preserve">ОБЩО: </t>
  </si>
  <si>
    <t>НУ "Васил Левски"</t>
  </si>
  <si>
    <t>ОУ "Ран Босилек"</t>
  </si>
  <si>
    <t>ОУ "Неофит Рилски"</t>
  </si>
  <si>
    <t>ОУ "Христо Ботев"</t>
  </si>
  <si>
    <t>ОУ "Иван Вазов"</t>
  </si>
  <si>
    <t>ОУ "Св.Св.Кирил и Методий"</t>
  </si>
  <si>
    <t>ПМГ "Акад. Иван Гюзелев"</t>
  </si>
  <si>
    <t>СУ "Райчо Каролев"</t>
  </si>
  <si>
    <t>СУ "Отец Паисий"</t>
  </si>
  <si>
    <t>Общо</t>
  </si>
  <si>
    <t>Брой ученици в паралелка в неспециализирано училище, без професионална паралелка</t>
  </si>
  <si>
    <t>Брой парарелки в неспециализирано училище, без професионална гимназия</t>
  </si>
  <si>
    <t>Средства по ЕРС</t>
  </si>
  <si>
    <t>Средства по регионален коефициент 0,017</t>
  </si>
  <si>
    <t xml:space="preserve"> </t>
  </si>
  <si>
    <t>Средства за логопедичен кабинет 0,5%</t>
  </si>
  <si>
    <t xml:space="preserve"> Общо средства по формула без РНР</t>
  </si>
  <si>
    <t>Допълнителни компоненти -2,45 %</t>
  </si>
  <si>
    <t>Основна компонента
97,55 %</t>
  </si>
  <si>
    <t>97,55 % от  ЕРС</t>
  </si>
  <si>
    <t xml:space="preserve">ЕРС за институция </t>
  </si>
  <si>
    <t>Средства 100% по ЕРС</t>
  </si>
  <si>
    <t>Резерв за нерегулярни разходи  - 0.9 %</t>
  </si>
  <si>
    <t xml:space="preserve">ЕРС за паралелка в неспециализирано училище, без професионална гимназия 12  785 лв   </t>
  </si>
  <si>
    <t xml:space="preserve">ЕРС за ученик в паралелка в неспециализирано училище, без професионална паралелка 2 519 лв </t>
  </si>
  <si>
    <t>Добавка плувен басейн - 0,78 %</t>
  </si>
  <si>
    <t>Добавка за училища, с брой на учениците  до 150 вкл. - 0,27%</t>
  </si>
  <si>
    <t>ДЕЙНОСТ 322  ФОРМУЛАТА ЗА БЮДЖЕТ 2023г., СЪГЛАСНО ЗДБР</t>
  </si>
  <si>
    <t>Брой паралелки за професионална подготовка</t>
  </si>
  <si>
    <t>Брой ученици в паралелка за професионална подготовка, направление "Физически науки, информатика, техника, здравеопазване, опазване на околната среда, произдвоство и преработка, архитектура и строителство"</t>
  </si>
  <si>
    <t>Брой ученици в паралелка за професионална подготовка, направление "Изобаразителни изкуства, дизайн, художествени занаяти"</t>
  </si>
  <si>
    <t>Средства по ЕРС за професионална подготовка
к.3+к.5+к.7</t>
  </si>
  <si>
    <t>Основна компонента
99.5%</t>
  </si>
  <si>
    <t>Допълнителни компоненти - 0.5%</t>
  </si>
  <si>
    <t>99.5% от ЕРС</t>
  </si>
  <si>
    <t>0.5% от ЕРС РНР</t>
  </si>
  <si>
    <t>СУ Райчо Каролев</t>
  </si>
  <si>
    <t>СУ Отец Паисий</t>
  </si>
  <si>
    <t>ПМГ Акад. Иван Гюзелев</t>
  </si>
  <si>
    <t>Дейност 326 " Професионални гимназии и паралелки за професионална подготовка - дневна форма на обучение",
 ФОРМУЛА 2023, СЪГЛАСНО ЗДБРБ</t>
  </si>
  <si>
    <t xml:space="preserve">ЕРС за паралелка за професионална квалификация  19 197 лв. </t>
  </si>
  <si>
    <t>ЕРС за ученик в паралелка за професионална подготовка, направление "Физически науки, информатика, техника, здравеопазване, опазване на околната среща, произдвоство и преработка, архитектура и строителство"  3 771 лв.</t>
  </si>
  <si>
    <t>ЕРС за ученик в паралелка за професионална подготовка, направления "Изкуства" и "Хуманитарни науки"  5 053 лв.</t>
  </si>
  <si>
    <t>Общо средства по ЕРС за професионална подготовка</t>
  </si>
  <si>
    <t>ЦПЛР</t>
  </si>
  <si>
    <t>Брой паралелки в ЦСОП</t>
  </si>
  <si>
    <t>Брой ученици в ЦСОП</t>
  </si>
  <si>
    <t>Средства 100%</t>
  </si>
  <si>
    <t>ЦСОП</t>
  </si>
  <si>
    <t>Дейност 321 " Център за специална образователна подкрепа", съгласно ЗДБРБ 2023 г.</t>
  </si>
  <si>
    <t>ЕРС за ученик в ЦСОП 10 389 лв.</t>
  </si>
  <si>
    <t>ЕРС за паралелка в
ЦСОП 19 296 лв.</t>
  </si>
  <si>
    <t>норматив за стипендии в т. ч.</t>
  </si>
  <si>
    <t>Средства от
норматив 
за стипендии
2023 г.</t>
  </si>
  <si>
    <t>ученици от гимназиален етап на обучение в специални, 
специализирании неспецализирани училища с изключение на 
професионалните гимназии и за ученици в професионална гимназия,
 направление "Стопанско управление и администрация и социални услуги"
 и "Услуги за личността" *100 лв.</t>
  </si>
  <si>
    <t>Ученик в професионална паралелка 
- без направление "Стопанско управление и
 администрация и социални услуги" и "Услуги за личността" * 112 лв.</t>
  </si>
  <si>
    <t>ученици в приоритетни и защитени специалности * 262 лв.</t>
  </si>
  <si>
    <t xml:space="preserve">ЦСОП </t>
  </si>
  <si>
    <t>СТИПЕНДИИ, СЪГЛАСНО ЗДБРБ 2023 Г.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</si>
</sst>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50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left" vertical="top"/>
    </xf>
    <xf numFmtId="1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>
      <alignment vertical="top"/>
    </xf>
    <xf numFmtId="1" fontId="51" fillId="0" borderId="0" xfId="0" applyNumberFormat="1" applyFont="1" applyFill="1" applyBorder="1" applyAlignment="1">
      <alignment vertical="top" wrapText="1"/>
    </xf>
    <xf numFmtId="1" fontId="2" fillId="33" borderId="12" xfId="0" applyNumberFormat="1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 horizontal="right"/>
    </xf>
    <xf numFmtId="3" fontId="8" fillId="16" borderId="14" xfId="0" applyNumberFormat="1" applyFont="1" applyFill="1" applyBorder="1" applyAlignment="1">
      <alignment/>
    </xf>
    <xf numFmtId="3" fontId="8" fillId="16" borderId="12" xfId="0" applyNumberFormat="1" applyFont="1" applyFill="1" applyBorder="1" applyAlignment="1">
      <alignment horizontal="right"/>
    </xf>
    <xf numFmtId="3" fontId="9" fillId="14" borderId="12" xfId="0" applyNumberFormat="1" applyFont="1" applyFill="1" applyBorder="1" applyAlignment="1">
      <alignment horizontal="right"/>
    </xf>
    <xf numFmtId="3" fontId="8" fillId="16" borderId="14" xfId="0" applyNumberFormat="1" applyFont="1" applyFill="1" applyBorder="1" applyAlignment="1">
      <alignment horizontal="right"/>
    </xf>
    <xf numFmtId="3" fontId="8" fillId="14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34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29" fillId="0" borderId="12" xfId="0" applyNumberFormat="1" applyFont="1" applyBorder="1" applyAlignment="1">
      <alignment horizontal="right" wrapText="1"/>
    </xf>
    <xf numFmtId="3" fontId="30" fillId="0" borderId="1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3" fontId="29" fillId="0" borderId="12" xfId="0" applyNumberFormat="1" applyFont="1" applyFill="1" applyBorder="1" applyAlignment="1">
      <alignment horizontal="right"/>
    </xf>
    <xf numFmtId="3" fontId="29" fillId="10" borderId="12" xfId="0" applyNumberFormat="1" applyFont="1" applyFill="1" applyBorder="1" applyAlignment="1">
      <alignment horizontal="right"/>
    </xf>
    <xf numFmtId="3" fontId="29" fillId="0" borderId="0" xfId="0" applyNumberFormat="1" applyFont="1" applyAlignment="1">
      <alignment horizontal="right"/>
    </xf>
    <xf numFmtId="3" fontId="30" fillId="0" borderId="12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30" fillId="0" borderId="12" xfId="0" applyFont="1" applyBorder="1" applyAlignment="1">
      <alignment/>
    </xf>
    <xf numFmtId="1" fontId="29" fillId="33" borderId="12" xfId="0" applyNumberFormat="1" applyFont="1" applyFill="1" applyBorder="1" applyAlignment="1">
      <alignment horizontal="right"/>
    </xf>
    <xf numFmtId="3" fontId="29" fillId="0" borderId="12" xfId="0" applyNumberFormat="1" applyFont="1" applyFill="1" applyBorder="1" applyAlignment="1">
      <alignment/>
    </xf>
    <xf numFmtId="1" fontId="29" fillId="33" borderId="12" xfId="0" applyNumberFormat="1" applyFont="1" applyFill="1" applyBorder="1" applyAlignment="1">
      <alignment/>
    </xf>
    <xf numFmtId="3" fontId="29" fillId="0" borderId="12" xfId="0" applyNumberFormat="1" applyFont="1" applyBorder="1" applyAlignment="1">
      <alignment/>
    </xf>
    <xf numFmtId="3" fontId="29" fillId="35" borderId="12" xfId="0" applyNumberFormat="1" applyFont="1" applyFill="1" applyBorder="1" applyAlignment="1">
      <alignment/>
    </xf>
    <xf numFmtId="3" fontId="29" fillId="34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3" fontId="9" fillId="16" borderId="14" xfId="0" applyNumberFormat="1" applyFont="1" applyFill="1" applyBorder="1" applyAlignment="1">
      <alignment/>
    </xf>
    <xf numFmtId="1" fontId="9" fillId="0" borderId="14" xfId="0" applyNumberFormat="1" applyFont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3" fontId="1" fillId="35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left" vertical="center" textRotation="90" wrapText="1"/>
    </xf>
    <xf numFmtId="1" fontId="7" fillId="0" borderId="0" xfId="0" applyNumberFormat="1" applyFont="1" applyFill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20.7109375" style="0" customWidth="1"/>
    <col min="2" max="2" width="9.140625" style="0" customWidth="1"/>
    <col min="3" max="3" width="5.140625" style="0" customWidth="1"/>
    <col min="4" max="4" width="10.421875" style="0" customWidth="1"/>
    <col min="5" max="5" width="5.57421875" style="0" customWidth="1"/>
    <col min="6" max="6" width="9.00390625" style="0" customWidth="1"/>
    <col min="7" max="7" width="10.140625" style="0" customWidth="1"/>
    <col min="8" max="8" width="8.57421875" style="0" customWidth="1"/>
    <col min="9" max="9" width="10.7109375" style="0" customWidth="1"/>
    <col min="10" max="10" width="10.140625" style="15" customWidth="1"/>
    <col min="11" max="11" width="6.421875" style="0" customWidth="1"/>
    <col min="12" max="12" width="6.28125" style="0" hidden="1" customWidth="1"/>
    <col min="13" max="13" width="7.421875" style="0" customWidth="1"/>
    <col min="14" max="14" width="6.57421875" style="0" customWidth="1"/>
    <col min="15" max="15" width="7.140625" style="0" customWidth="1"/>
    <col min="16" max="16" width="10.421875" style="0" customWidth="1"/>
    <col min="17" max="17" width="10.7109375" style="0" customWidth="1"/>
  </cols>
  <sheetData>
    <row r="1" spans="1:17" ht="12.75" customHeight="1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42"/>
      <c r="B2" s="42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</row>
    <row r="3" spans="1:17" ht="12.75">
      <c r="A3" s="89" t="s">
        <v>0</v>
      </c>
      <c r="B3" s="90" t="s">
        <v>23</v>
      </c>
      <c r="C3" s="90" t="s">
        <v>14</v>
      </c>
      <c r="D3" s="90" t="s">
        <v>26</v>
      </c>
      <c r="E3" s="90" t="s">
        <v>13</v>
      </c>
      <c r="F3" s="90" t="s">
        <v>27</v>
      </c>
      <c r="G3" s="90" t="s">
        <v>15</v>
      </c>
      <c r="H3" s="90" t="s">
        <v>16</v>
      </c>
      <c r="I3" s="90" t="s">
        <v>24</v>
      </c>
      <c r="J3" s="91" t="s">
        <v>21</v>
      </c>
      <c r="K3" s="92" t="s">
        <v>20</v>
      </c>
      <c r="L3" s="92"/>
      <c r="M3" s="92"/>
      <c r="N3" s="92"/>
      <c r="O3" s="92"/>
      <c r="P3" s="93" t="s">
        <v>1</v>
      </c>
      <c r="Q3" s="93" t="s">
        <v>19</v>
      </c>
    </row>
    <row r="4" spans="1:17" ht="12.75" customHeight="1">
      <c r="A4" s="89"/>
      <c r="B4" s="90"/>
      <c r="C4" s="90"/>
      <c r="D4" s="90"/>
      <c r="E4" s="90"/>
      <c r="F4" s="90"/>
      <c r="G4" s="90"/>
      <c r="H4" s="90"/>
      <c r="I4" s="90"/>
      <c r="J4" s="91"/>
      <c r="K4" s="92"/>
      <c r="L4" s="92"/>
      <c r="M4" s="92"/>
      <c r="N4" s="92"/>
      <c r="O4" s="92"/>
      <c r="P4" s="94"/>
      <c r="Q4" s="94"/>
    </row>
    <row r="5" spans="1:17" ht="31.5" customHeight="1">
      <c r="A5" s="89"/>
      <c r="B5" s="90"/>
      <c r="C5" s="90"/>
      <c r="D5" s="90"/>
      <c r="E5" s="90"/>
      <c r="F5" s="90"/>
      <c r="G5" s="90"/>
      <c r="H5" s="90"/>
      <c r="I5" s="90"/>
      <c r="J5" s="91"/>
      <c r="K5" s="92"/>
      <c r="L5" s="92"/>
      <c r="M5" s="92"/>
      <c r="N5" s="92"/>
      <c r="O5" s="92"/>
      <c r="P5" s="94"/>
      <c r="Q5" s="94"/>
    </row>
    <row r="6" spans="1:17" ht="12.75" customHeight="1">
      <c r="A6" s="89"/>
      <c r="B6" s="90"/>
      <c r="C6" s="90"/>
      <c r="D6" s="90"/>
      <c r="E6" s="90"/>
      <c r="F6" s="90"/>
      <c r="G6" s="90"/>
      <c r="H6" s="90"/>
      <c r="I6" s="90"/>
      <c r="J6" s="91"/>
      <c r="K6" s="92"/>
      <c r="L6" s="92"/>
      <c r="M6" s="92"/>
      <c r="N6" s="92"/>
      <c r="O6" s="92"/>
      <c r="P6" s="94"/>
      <c r="Q6" s="94"/>
    </row>
    <row r="7" spans="1:17" ht="22.5" customHeight="1">
      <c r="A7" s="89"/>
      <c r="B7" s="90"/>
      <c r="C7" s="90"/>
      <c r="D7" s="90"/>
      <c r="E7" s="90"/>
      <c r="F7" s="90"/>
      <c r="G7" s="90"/>
      <c r="H7" s="90"/>
      <c r="I7" s="90"/>
      <c r="J7" s="91"/>
      <c r="K7" s="92"/>
      <c r="L7" s="92"/>
      <c r="M7" s="92"/>
      <c r="N7" s="92"/>
      <c r="O7" s="92"/>
      <c r="P7" s="94"/>
      <c r="Q7" s="94"/>
    </row>
    <row r="8" spans="1:17" ht="106.5" customHeight="1">
      <c r="A8" s="89"/>
      <c r="B8" s="90"/>
      <c r="C8" s="90"/>
      <c r="D8" s="90"/>
      <c r="E8" s="90"/>
      <c r="F8" s="90"/>
      <c r="G8" s="90"/>
      <c r="H8" s="90"/>
      <c r="I8" s="90"/>
      <c r="J8" s="31" t="s">
        <v>22</v>
      </c>
      <c r="K8" s="32" t="s">
        <v>18</v>
      </c>
      <c r="L8" s="32" t="s">
        <v>17</v>
      </c>
      <c r="M8" s="32" t="s">
        <v>25</v>
      </c>
      <c r="N8" s="32" t="s">
        <v>28</v>
      </c>
      <c r="O8" s="32" t="s">
        <v>29</v>
      </c>
      <c r="P8" s="95"/>
      <c r="Q8" s="95"/>
    </row>
    <row r="9" spans="1:17" ht="12.75">
      <c r="A9" s="33">
        <v>1</v>
      </c>
      <c r="B9" s="7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25">
        <v>10</v>
      </c>
      <c r="K9" s="33">
        <v>11</v>
      </c>
      <c r="L9" s="7">
        <v>20</v>
      </c>
      <c r="M9" s="7">
        <v>12</v>
      </c>
      <c r="N9" s="7">
        <v>13</v>
      </c>
      <c r="O9" s="7">
        <v>14</v>
      </c>
      <c r="P9" s="14">
        <v>15</v>
      </c>
      <c r="Q9" s="14">
        <v>16</v>
      </c>
    </row>
    <row r="10" spans="1:17" ht="19.5" customHeight="1">
      <c r="A10" s="2" t="s">
        <v>3</v>
      </c>
      <c r="B10" s="34">
        <v>67500</v>
      </c>
      <c r="C10" s="22">
        <v>8</v>
      </c>
      <c r="D10" s="34">
        <f>C10*14368</f>
        <v>114944</v>
      </c>
      <c r="E10" s="22">
        <v>164</v>
      </c>
      <c r="F10" s="34">
        <f>E10*2831</f>
        <v>464284</v>
      </c>
      <c r="G10" s="34">
        <f>F10+D10+B10</f>
        <v>646728</v>
      </c>
      <c r="H10" s="34">
        <f>G10*0.017</f>
        <v>10994.376</v>
      </c>
      <c r="I10" s="37">
        <f>G10+H10</f>
        <v>657722.376</v>
      </c>
      <c r="J10" s="23">
        <f>I10*0.9755</f>
        <v>641608.1777880001</v>
      </c>
      <c r="K10" s="23">
        <f>+K19-K15-K13</f>
        <v>20468.184374999993</v>
      </c>
      <c r="L10" s="23"/>
      <c r="M10" s="23">
        <f>I10*0.9%</f>
        <v>5919.501384000001</v>
      </c>
      <c r="N10" s="23"/>
      <c r="O10" s="23"/>
      <c r="P10" s="37">
        <f>O10+N10+M10+K10+J10</f>
        <v>667995.8635470001</v>
      </c>
      <c r="Q10" s="34">
        <f>J10+K10+N10+O10</f>
        <v>662076.362163</v>
      </c>
    </row>
    <row r="11" spans="1:17" ht="19.5" customHeight="1">
      <c r="A11" s="2" t="s">
        <v>4</v>
      </c>
      <c r="B11" s="34">
        <v>67500</v>
      </c>
      <c r="C11" s="22">
        <v>21</v>
      </c>
      <c r="D11" s="34">
        <f aca="true" t="shared" si="0" ref="D11:D18">C11*14368</f>
        <v>301728</v>
      </c>
      <c r="E11" s="22">
        <v>521</v>
      </c>
      <c r="F11" s="34">
        <f aca="true" t="shared" si="1" ref="F11:F18">E11*2831</f>
        <v>1474951</v>
      </c>
      <c r="G11" s="34">
        <f aca="true" t="shared" si="2" ref="G11:G18">F11+D11+B11</f>
        <v>1844179</v>
      </c>
      <c r="H11" s="34">
        <f aca="true" t="shared" si="3" ref="H11:H18">G11*0.017</f>
        <v>31351.043</v>
      </c>
      <c r="I11" s="37">
        <f aca="true" t="shared" si="4" ref="I11:I18">G11+H11</f>
        <v>1875530.043</v>
      </c>
      <c r="J11" s="23">
        <f aca="true" t="shared" si="5" ref="J11:J18">I11*0.9755</f>
        <v>1829579.5569465002</v>
      </c>
      <c r="K11" s="23"/>
      <c r="L11" s="23"/>
      <c r="M11" s="23">
        <f aca="true" t="shared" si="6" ref="M11:M18">I11*0.9%</f>
        <v>16879.770387000004</v>
      </c>
      <c r="N11" s="23"/>
      <c r="O11" s="23"/>
      <c r="P11" s="37">
        <f aca="true" t="shared" si="7" ref="P11:P18">O11+N11+M11+K11+J11</f>
        <v>1846459.3273335001</v>
      </c>
      <c r="Q11" s="34">
        <f aca="true" t="shared" si="8" ref="Q11:Q18">J11+K11+N11+O11</f>
        <v>1829579.5569465002</v>
      </c>
    </row>
    <row r="12" spans="1:17" ht="19.5" customHeight="1">
      <c r="A12" s="2" t="s">
        <v>5</v>
      </c>
      <c r="B12" s="34">
        <v>67500</v>
      </c>
      <c r="C12" s="22">
        <v>19</v>
      </c>
      <c r="D12" s="34">
        <f t="shared" si="0"/>
        <v>272992</v>
      </c>
      <c r="E12" s="22">
        <v>486</v>
      </c>
      <c r="F12" s="34">
        <f t="shared" si="1"/>
        <v>1375866</v>
      </c>
      <c r="G12" s="34">
        <f t="shared" si="2"/>
        <v>1716358</v>
      </c>
      <c r="H12" s="34">
        <f t="shared" si="3"/>
        <v>29178.086000000003</v>
      </c>
      <c r="I12" s="37">
        <f t="shared" si="4"/>
        <v>1745536.086</v>
      </c>
      <c r="J12" s="23">
        <f t="shared" si="5"/>
        <v>1702770.451893</v>
      </c>
      <c r="K12" s="23"/>
      <c r="L12" s="23"/>
      <c r="M12" s="23">
        <f t="shared" si="6"/>
        <v>15709.824774</v>
      </c>
      <c r="N12" s="23"/>
      <c r="O12" s="23"/>
      <c r="P12" s="37">
        <f t="shared" si="7"/>
        <v>1718480.276667</v>
      </c>
      <c r="Q12" s="34">
        <f t="shared" si="8"/>
        <v>1702770.451893</v>
      </c>
    </row>
    <row r="13" spans="1:17" ht="19.5" customHeight="1">
      <c r="A13" s="2" t="s">
        <v>6</v>
      </c>
      <c r="B13" s="34">
        <v>67500</v>
      </c>
      <c r="C13" s="22">
        <v>13</v>
      </c>
      <c r="D13" s="34">
        <f t="shared" si="0"/>
        <v>186784</v>
      </c>
      <c r="E13" s="22">
        <v>236</v>
      </c>
      <c r="F13" s="34">
        <f t="shared" si="1"/>
        <v>668116</v>
      </c>
      <c r="G13" s="34">
        <f t="shared" si="2"/>
        <v>922400</v>
      </c>
      <c r="H13" s="34">
        <f t="shared" si="3"/>
        <v>15680.800000000001</v>
      </c>
      <c r="I13" s="37">
        <f t="shared" si="4"/>
        <v>938080.8</v>
      </c>
      <c r="J13" s="23">
        <f t="shared" si="5"/>
        <v>915097.8204000001</v>
      </c>
      <c r="K13" s="23">
        <f>+K19/3</f>
        <v>20468.184375</v>
      </c>
      <c r="L13" s="23"/>
      <c r="M13" s="23">
        <f t="shared" si="6"/>
        <v>8442.727200000001</v>
      </c>
      <c r="N13" s="23"/>
      <c r="O13" s="23"/>
      <c r="P13" s="37">
        <f t="shared" si="7"/>
        <v>944008.7319750001</v>
      </c>
      <c r="Q13" s="34">
        <f t="shared" si="8"/>
        <v>935566.004775</v>
      </c>
    </row>
    <row r="14" spans="1:17" ht="19.5" customHeight="1">
      <c r="A14" s="2" t="s">
        <v>7</v>
      </c>
      <c r="B14" s="34">
        <v>67500</v>
      </c>
      <c r="C14" s="22">
        <v>6</v>
      </c>
      <c r="D14" s="34">
        <f t="shared" si="0"/>
        <v>86208</v>
      </c>
      <c r="E14" s="22">
        <v>105</v>
      </c>
      <c r="F14" s="34">
        <f t="shared" si="1"/>
        <v>297255</v>
      </c>
      <c r="G14" s="34">
        <f t="shared" si="2"/>
        <v>450963</v>
      </c>
      <c r="H14" s="34">
        <f t="shared" si="3"/>
        <v>7666.371000000001</v>
      </c>
      <c r="I14" s="37">
        <f t="shared" si="4"/>
        <v>458629.371</v>
      </c>
      <c r="J14" s="23">
        <f t="shared" si="5"/>
        <v>447392.9514105</v>
      </c>
      <c r="K14" s="23"/>
      <c r="L14" s="23"/>
      <c r="M14" s="23">
        <f t="shared" si="6"/>
        <v>4127.664339</v>
      </c>
      <c r="N14" s="23"/>
      <c r="O14" s="23">
        <f>+O19</f>
        <v>33158.4586875</v>
      </c>
      <c r="P14" s="37">
        <f t="shared" si="7"/>
        <v>484679.074437</v>
      </c>
      <c r="Q14" s="34">
        <f t="shared" si="8"/>
        <v>480551.41009799996</v>
      </c>
    </row>
    <row r="15" spans="1:17" ht="19.5" customHeight="1">
      <c r="A15" s="2" t="s">
        <v>8</v>
      </c>
      <c r="B15" s="34">
        <v>67500</v>
      </c>
      <c r="C15" s="22">
        <v>24</v>
      </c>
      <c r="D15" s="34">
        <f t="shared" si="0"/>
        <v>344832</v>
      </c>
      <c r="E15" s="22">
        <v>575</v>
      </c>
      <c r="F15" s="34">
        <f t="shared" si="1"/>
        <v>1627825</v>
      </c>
      <c r="G15" s="34">
        <f t="shared" si="2"/>
        <v>2040157</v>
      </c>
      <c r="H15" s="34">
        <f t="shared" si="3"/>
        <v>34682.669</v>
      </c>
      <c r="I15" s="37">
        <f t="shared" si="4"/>
        <v>2074839.669</v>
      </c>
      <c r="J15" s="23">
        <f t="shared" si="5"/>
        <v>2024006.0971095</v>
      </c>
      <c r="K15" s="23">
        <f>+K19/3</f>
        <v>20468.184375</v>
      </c>
      <c r="L15" s="23"/>
      <c r="M15" s="23">
        <f t="shared" si="6"/>
        <v>18673.557021</v>
      </c>
      <c r="N15" s="23"/>
      <c r="O15" s="23"/>
      <c r="P15" s="37">
        <f t="shared" si="7"/>
        <v>2063147.8385055</v>
      </c>
      <c r="Q15" s="34">
        <f t="shared" si="8"/>
        <v>2044474.2814845</v>
      </c>
    </row>
    <row r="16" spans="1:17" ht="19.5" customHeight="1">
      <c r="A16" s="2" t="s">
        <v>10</v>
      </c>
      <c r="B16" s="34">
        <v>67500</v>
      </c>
      <c r="C16" s="22">
        <v>20</v>
      </c>
      <c r="D16" s="34">
        <f t="shared" si="0"/>
        <v>287360</v>
      </c>
      <c r="E16" s="22">
        <v>455</v>
      </c>
      <c r="F16" s="34">
        <f t="shared" si="1"/>
        <v>1288105</v>
      </c>
      <c r="G16" s="34">
        <f t="shared" si="2"/>
        <v>1642965</v>
      </c>
      <c r="H16" s="34">
        <f t="shared" si="3"/>
        <v>27930.405000000002</v>
      </c>
      <c r="I16" s="37">
        <f t="shared" si="4"/>
        <v>1670895.405</v>
      </c>
      <c r="J16" s="23">
        <f t="shared" si="5"/>
        <v>1629958.4675775</v>
      </c>
      <c r="K16" s="23"/>
      <c r="L16" s="23"/>
      <c r="M16" s="23">
        <f t="shared" si="6"/>
        <v>15038.058645000003</v>
      </c>
      <c r="N16" s="23"/>
      <c r="O16" s="23"/>
      <c r="P16" s="37">
        <f t="shared" si="7"/>
        <v>1644996.5262225</v>
      </c>
      <c r="Q16" s="34">
        <f t="shared" si="8"/>
        <v>1629958.4675775</v>
      </c>
    </row>
    <row r="17" spans="1:17" ht="19.5" customHeight="1">
      <c r="A17" s="2" t="s">
        <v>11</v>
      </c>
      <c r="B17" s="34">
        <v>67500</v>
      </c>
      <c r="C17" s="22">
        <v>15</v>
      </c>
      <c r="D17" s="34">
        <f t="shared" si="0"/>
        <v>215520</v>
      </c>
      <c r="E17" s="22">
        <v>295</v>
      </c>
      <c r="F17" s="34">
        <f t="shared" si="1"/>
        <v>835145</v>
      </c>
      <c r="G17" s="34">
        <f t="shared" si="2"/>
        <v>1118165</v>
      </c>
      <c r="H17" s="34">
        <f t="shared" si="3"/>
        <v>19008.805</v>
      </c>
      <c r="I17" s="37">
        <f t="shared" si="4"/>
        <v>1137173.805</v>
      </c>
      <c r="J17" s="23">
        <f t="shared" si="5"/>
        <v>1109313.0467775</v>
      </c>
      <c r="K17" s="23"/>
      <c r="L17" s="23"/>
      <c r="M17" s="23">
        <f t="shared" si="6"/>
        <v>10234.564245000001</v>
      </c>
      <c r="N17" s="23"/>
      <c r="O17" s="23"/>
      <c r="P17" s="37">
        <f t="shared" si="7"/>
        <v>1119547.6110225</v>
      </c>
      <c r="Q17" s="34">
        <f t="shared" si="8"/>
        <v>1109313.0467775</v>
      </c>
    </row>
    <row r="18" spans="1:17" ht="19.5" customHeight="1">
      <c r="A18" s="2" t="s">
        <v>9</v>
      </c>
      <c r="B18" s="34">
        <v>67500</v>
      </c>
      <c r="C18" s="22">
        <v>19</v>
      </c>
      <c r="D18" s="34">
        <f t="shared" si="0"/>
        <v>272992</v>
      </c>
      <c r="E18" s="22">
        <v>478</v>
      </c>
      <c r="F18" s="34">
        <f t="shared" si="1"/>
        <v>1353218</v>
      </c>
      <c r="G18" s="34">
        <f t="shared" si="2"/>
        <v>1693710</v>
      </c>
      <c r="H18" s="34">
        <f t="shared" si="3"/>
        <v>28793.070000000003</v>
      </c>
      <c r="I18" s="37">
        <f t="shared" si="4"/>
        <v>1722503.07</v>
      </c>
      <c r="J18" s="23">
        <f t="shared" si="5"/>
        <v>1680301.744785</v>
      </c>
      <c r="K18" s="23"/>
      <c r="L18" s="23"/>
      <c r="M18" s="23">
        <f t="shared" si="6"/>
        <v>15502.527630000002</v>
      </c>
      <c r="N18" s="23">
        <f>+N19</f>
        <v>95791.102875</v>
      </c>
      <c r="O18" s="23"/>
      <c r="P18" s="37">
        <f t="shared" si="7"/>
        <v>1791595.37529</v>
      </c>
      <c r="Q18" s="34">
        <f t="shared" si="8"/>
        <v>1776092.8476600002</v>
      </c>
    </row>
    <row r="19" spans="1:17" ht="19.5" customHeight="1" thickBot="1">
      <c r="A19" s="1" t="s">
        <v>2</v>
      </c>
      <c r="B19" s="35">
        <f aca="true" t="shared" si="9" ref="B19:H19">SUM(B10:B18)</f>
        <v>607500</v>
      </c>
      <c r="C19" s="24">
        <f t="shared" si="9"/>
        <v>145</v>
      </c>
      <c r="D19" s="36">
        <f>SUM(D10:D18)</f>
        <v>2083360</v>
      </c>
      <c r="E19" s="24">
        <f t="shared" si="9"/>
        <v>3315</v>
      </c>
      <c r="F19" s="38">
        <f t="shared" si="9"/>
        <v>9384765</v>
      </c>
      <c r="G19" s="38">
        <f t="shared" si="9"/>
        <v>12075625</v>
      </c>
      <c r="H19" s="38">
        <f t="shared" si="9"/>
        <v>205285.625</v>
      </c>
      <c r="I19" s="39">
        <f>SUM(I10:I18)</f>
        <v>12280910.625</v>
      </c>
      <c r="J19" s="40">
        <f>I19*0.9755</f>
        <v>11980028.3146875</v>
      </c>
      <c r="K19" s="40">
        <f>I19*0.005</f>
        <v>61404.553125</v>
      </c>
      <c r="L19" s="40"/>
      <c r="M19" s="41">
        <f>I19*0.9%</f>
        <v>110528.19562500001</v>
      </c>
      <c r="N19" s="40">
        <f>I19*0.0078</f>
        <v>95791.102875</v>
      </c>
      <c r="O19" s="40">
        <f>I19*0.0027</f>
        <v>33158.4586875</v>
      </c>
      <c r="P19" s="39">
        <f>SUM(J19:O19)</f>
        <v>12280910.624999998</v>
      </c>
      <c r="Q19" s="38">
        <f>P19-M19</f>
        <v>12170382.429374998</v>
      </c>
    </row>
    <row r="20" spans="1:19" ht="12.75">
      <c r="A20" s="4"/>
      <c r="B20" s="18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S20" s="16"/>
    </row>
    <row r="21" spans="1:17" ht="12.75">
      <c r="A21" s="20"/>
      <c r="B21" s="20"/>
      <c r="C21" s="20"/>
      <c r="D21" s="20"/>
      <c r="E21" s="20"/>
      <c r="F21" s="20"/>
      <c r="G21" s="20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 customHeight="1">
      <c r="A22" s="29"/>
      <c r="B22" s="29"/>
      <c r="C22" s="29"/>
      <c r="D22" s="29"/>
      <c r="E22" s="29"/>
      <c r="F22" s="29"/>
      <c r="G22" s="29"/>
      <c r="H22" s="29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2.75">
      <c r="A23" s="29"/>
      <c r="B23" s="29"/>
      <c r="C23" s="29"/>
      <c r="D23" s="29"/>
      <c r="E23" s="29"/>
      <c r="F23" s="29"/>
      <c r="G23" s="29"/>
      <c r="H23" s="29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96"/>
      <c r="B25" s="96"/>
      <c r="C25" s="96"/>
      <c r="D25" s="96"/>
      <c r="E25" s="96"/>
      <c r="F25" s="96"/>
      <c r="G25" s="3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20"/>
      <c r="B26" s="20"/>
      <c r="C26" s="20"/>
      <c r="D26" s="20"/>
      <c r="E26" s="20"/>
      <c r="F26" s="20"/>
      <c r="G26" s="20"/>
      <c r="H26" s="19"/>
      <c r="I26" s="19"/>
      <c r="J26" s="19"/>
      <c r="K26" s="19"/>
      <c r="L26" s="5"/>
      <c r="M26" s="5"/>
      <c r="N26" s="5"/>
      <c r="O26" s="5"/>
      <c r="P26" s="5"/>
      <c r="Q26" s="5"/>
    </row>
    <row r="27" spans="1:17" ht="12.75">
      <c r="A27" s="20"/>
      <c r="B27" s="20"/>
      <c r="C27" s="20"/>
      <c r="D27" s="20"/>
      <c r="E27" s="20"/>
      <c r="F27" s="20"/>
      <c r="G27" s="20"/>
      <c r="H27" s="19"/>
      <c r="I27" s="19"/>
      <c r="J27" s="19"/>
      <c r="K27" s="19"/>
      <c r="L27" s="3"/>
      <c r="M27" s="3"/>
      <c r="N27" s="3"/>
      <c r="O27" s="3"/>
      <c r="P27" s="6"/>
      <c r="Q27" s="6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"/>
      <c r="M28" s="3"/>
      <c r="N28" s="3"/>
      <c r="O28" s="3"/>
      <c r="P28" s="6"/>
      <c r="Q28" s="6"/>
    </row>
    <row r="29" spans="1:17" ht="27.75" customHeight="1">
      <c r="A29" s="20"/>
      <c r="B29" s="20"/>
      <c r="C29" s="20"/>
      <c r="D29" s="20"/>
      <c r="E29" s="20"/>
      <c r="F29" s="20"/>
      <c r="G29" s="20"/>
      <c r="H29" s="19"/>
      <c r="I29" s="19"/>
      <c r="J29" s="19"/>
      <c r="K29" s="19"/>
      <c r="L29" s="3"/>
      <c r="M29" s="3"/>
      <c r="N29" s="3"/>
      <c r="O29" s="3"/>
      <c r="P29" s="6"/>
      <c r="Q29" s="6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"/>
      <c r="M30" s="3"/>
      <c r="N30" s="3"/>
      <c r="O30" s="3"/>
      <c r="P30" s="6"/>
      <c r="Q30" s="6"/>
    </row>
    <row r="31" spans="1:17" ht="12.75" customHeight="1">
      <c r="A31" s="19"/>
      <c r="B31" s="19"/>
      <c r="C31" s="21"/>
      <c r="D31" s="19"/>
      <c r="E31" s="19"/>
      <c r="F31" s="19"/>
      <c r="G31" s="19"/>
      <c r="H31" s="19"/>
      <c r="I31" s="19"/>
      <c r="J31" s="19"/>
      <c r="K31" s="19"/>
      <c r="L31" s="8"/>
      <c r="M31" s="8"/>
      <c r="N31" s="8"/>
      <c r="O31" s="8"/>
      <c r="P31" s="8"/>
      <c r="Q31" s="8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12"/>
      <c r="J33" s="26"/>
      <c r="K33" s="12"/>
      <c r="L33" s="12"/>
      <c r="M33" s="9"/>
      <c r="N33" s="9"/>
      <c r="O33" s="9"/>
      <c r="P33" s="9"/>
      <c r="Q33" s="9"/>
    </row>
    <row r="34" spans="1:17" ht="12.75">
      <c r="A34" s="10"/>
      <c r="B34" s="10"/>
      <c r="C34" s="10"/>
      <c r="D34" s="10"/>
      <c r="E34" s="10"/>
      <c r="F34" s="10"/>
      <c r="G34" s="10"/>
      <c r="H34" s="10"/>
      <c r="I34" s="13"/>
      <c r="J34" s="27"/>
      <c r="K34" s="13"/>
      <c r="L34" s="13"/>
      <c r="M34" s="10"/>
      <c r="N34" s="10"/>
      <c r="O34" s="10"/>
      <c r="P34" s="10"/>
      <c r="Q34" s="10"/>
    </row>
    <row r="35" spans="1:17" ht="12.75">
      <c r="A35" s="9"/>
      <c r="B35" s="9"/>
      <c r="C35" s="9"/>
      <c r="D35" s="9"/>
      <c r="E35" s="9"/>
      <c r="F35" s="9"/>
      <c r="G35" s="9"/>
      <c r="H35" s="9"/>
      <c r="I35" s="12"/>
      <c r="J35" s="26"/>
      <c r="K35" s="12"/>
      <c r="L35" s="12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12"/>
      <c r="J36" s="26"/>
      <c r="K36" s="12"/>
      <c r="L36" s="12"/>
      <c r="M36" s="9"/>
      <c r="N36" s="9"/>
      <c r="O36" s="9"/>
      <c r="P36" s="9"/>
      <c r="Q36" s="9"/>
    </row>
    <row r="37" spans="1:17" ht="12.75">
      <c r="A37" s="8"/>
      <c r="B37" s="8"/>
      <c r="C37" s="8"/>
      <c r="D37" s="8"/>
      <c r="E37" s="8"/>
      <c r="F37" s="8"/>
      <c r="G37" s="8"/>
      <c r="H37" s="8"/>
      <c r="I37" s="11"/>
      <c r="J37" s="28"/>
      <c r="K37" s="11"/>
      <c r="L37" s="11"/>
      <c r="M37" s="8"/>
      <c r="N37" s="8"/>
      <c r="O37" s="8"/>
      <c r="P37" s="8"/>
      <c r="Q37" s="8"/>
    </row>
  </sheetData>
  <sheetProtection/>
  <mergeCells count="15">
    <mergeCell ref="J3:J7"/>
    <mergeCell ref="K3:O7"/>
    <mergeCell ref="P3:P8"/>
    <mergeCell ref="Q3:Q8"/>
    <mergeCell ref="A25:F25"/>
    <mergeCell ref="A1:Q1"/>
    <mergeCell ref="A3:A8"/>
    <mergeCell ref="B3:B8"/>
    <mergeCell ref="C3:C8"/>
    <mergeCell ref="D3:D8"/>
    <mergeCell ref="E3:E8"/>
    <mergeCell ref="F3:F8"/>
    <mergeCell ref="G3:G8"/>
    <mergeCell ref="H3:H8"/>
    <mergeCell ref="I3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P7" sqref="P7"/>
    </sheetView>
  </sheetViews>
  <sheetFormatPr defaultColWidth="9.140625" defaultRowHeight="12.75"/>
  <cols>
    <col min="1" max="1" width="8.57421875" style="0" customWidth="1"/>
    <col min="2" max="2" width="3.57421875" style="0" customWidth="1"/>
    <col min="3" max="3" width="7.8515625" style="0" customWidth="1"/>
    <col min="4" max="4" width="13.421875" style="0" customWidth="1"/>
    <col min="5" max="5" width="13.7109375" style="0" customWidth="1"/>
    <col min="6" max="6" width="8.421875" style="0" customWidth="1"/>
    <col min="7" max="7" width="7.8515625" style="0" customWidth="1"/>
    <col min="8" max="8" width="11.00390625" style="0" customWidth="1"/>
    <col min="9" max="9" width="9.8515625" style="0" customWidth="1"/>
    <col min="11" max="11" width="11.7109375" style="0" customWidth="1"/>
    <col min="12" max="12" width="13.7109375" style="0" customWidth="1"/>
    <col min="13" max="13" width="11.28125" style="0" customWidth="1"/>
    <col min="14" max="14" width="6.00390625" style="0" customWidth="1"/>
  </cols>
  <sheetData>
    <row r="1" spans="1:13" ht="43.5" customHeigh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4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43.5" customHeight="1">
      <c r="A3" s="100" t="s">
        <v>0</v>
      </c>
      <c r="B3" s="90" t="s">
        <v>31</v>
      </c>
      <c r="C3" s="90" t="s">
        <v>43</v>
      </c>
      <c r="D3" s="101" t="s">
        <v>32</v>
      </c>
      <c r="E3" s="90" t="s">
        <v>44</v>
      </c>
      <c r="F3" s="90" t="s">
        <v>33</v>
      </c>
      <c r="G3" s="90" t="s">
        <v>45</v>
      </c>
      <c r="H3" s="90" t="s">
        <v>34</v>
      </c>
      <c r="I3" s="90" t="s">
        <v>16</v>
      </c>
      <c r="J3" s="90" t="s">
        <v>46</v>
      </c>
      <c r="K3" s="98" t="s">
        <v>35</v>
      </c>
      <c r="L3" s="98" t="s">
        <v>36</v>
      </c>
      <c r="M3" s="99" t="s">
        <v>19</v>
      </c>
    </row>
    <row r="4" spans="1:13" ht="12.75" customHeight="1">
      <c r="A4" s="100"/>
      <c r="B4" s="90"/>
      <c r="C4" s="90"/>
      <c r="D4" s="101"/>
      <c r="E4" s="90"/>
      <c r="F4" s="90"/>
      <c r="G4" s="90"/>
      <c r="H4" s="90"/>
      <c r="I4" s="90"/>
      <c r="J4" s="90"/>
      <c r="K4" s="98"/>
      <c r="L4" s="98"/>
      <c r="M4" s="99"/>
    </row>
    <row r="5" spans="1:13" ht="12.75" customHeight="1">
      <c r="A5" s="100"/>
      <c r="B5" s="90"/>
      <c r="C5" s="90"/>
      <c r="D5" s="101"/>
      <c r="E5" s="90"/>
      <c r="F5" s="90"/>
      <c r="G5" s="90"/>
      <c r="H5" s="90"/>
      <c r="I5" s="90"/>
      <c r="J5" s="90"/>
      <c r="K5" s="98"/>
      <c r="L5" s="98"/>
      <c r="M5" s="99"/>
    </row>
    <row r="6" spans="1:13" ht="12.75" customHeight="1">
      <c r="A6" s="100"/>
      <c r="B6" s="90"/>
      <c r="C6" s="90"/>
      <c r="D6" s="101"/>
      <c r="E6" s="90"/>
      <c r="F6" s="90"/>
      <c r="G6" s="90"/>
      <c r="H6" s="90"/>
      <c r="I6" s="90"/>
      <c r="J6" s="90"/>
      <c r="K6" s="98"/>
      <c r="L6" s="98"/>
      <c r="M6" s="99"/>
    </row>
    <row r="7" spans="1:13" ht="45.75" customHeight="1">
      <c r="A7" s="100"/>
      <c r="B7" s="90"/>
      <c r="C7" s="90"/>
      <c r="D7" s="101"/>
      <c r="E7" s="90"/>
      <c r="F7" s="90"/>
      <c r="G7" s="90"/>
      <c r="H7" s="90"/>
      <c r="I7" s="90"/>
      <c r="J7" s="90"/>
      <c r="K7" s="90" t="s">
        <v>37</v>
      </c>
      <c r="L7" s="90" t="s">
        <v>38</v>
      </c>
      <c r="M7" s="99"/>
    </row>
    <row r="8" spans="1:13" ht="66" customHeight="1">
      <c r="A8" s="100"/>
      <c r="B8" s="90"/>
      <c r="C8" s="90"/>
      <c r="D8" s="101"/>
      <c r="E8" s="90"/>
      <c r="F8" s="90"/>
      <c r="G8" s="90"/>
      <c r="H8" s="90"/>
      <c r="I8" s="90"/>
      <c r="J8" s="90"/>
      <c r="K8" s="90"/>
      <c r="L8" s="90"/>
      <c r="M8" s="99"/>
    </row>
    <row r="9" spans="1:13" s="48" customFormat="1" ht="14.2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</row>
    <row r="10" spans="1:13" s="54" customFormat="1" ht="25.5">
      <c r="A10" s="49" t="s">
        <v>39</v>
      </c>
      <c r="B10" s="50">
        <v>1</v>
      </c>
      <c r="C10" s="50">
        <f>B10*19197</f>
        <v>19197</v>
      </c>
      <c r="D10" s="50">
        <v>18</v>
      </c>
      <c r="E10" s="50">
        <f>D10*3771</f>
        <v>67878</v>
      </c>
      <c r="F10" s="51">
        <v>0</v>
      </c>
      <c r="G10" s="50">
        <f>F10*5053</f>
        <v>0</v>
      </c>
      <c r="H10" s="50">
        <f>C10+E10+G10</f>
        <v>87075</v>
      </c>
      <c r="I10" s="50">
        <f>H10*0.017</f>
        <v>1480.275</v>
      </c>
      <c r="J10" s="51">
        <f>H10+I10</f>
        <v>88555.275</v>
      </c>
      <c r="K10" s="52">
        <f>J10*0.995</f>
        <v>88112.498625</v>
      </c>
      <c r="L10" s="52">
        <f>J10*0.5%</f>
        <v>442.776375</v>
      </c>
      <c r="M10" s="53">
        <f>J10-L10</f>
        <v>88112.498625</v>
      </c>
    </row>
    <row r="11" spans="1:13" s="56" customFormat="1" ht="30.75" customHeight="1">
      <c r="A11" s="49" t="s">
        <v>40</v>
      </c>
      <c r="B11" s="55">
        <v>10</v>
      </c>
      <c r="C11" s="50">
        <f>B11*19197</f>
        <v>191970</v>
      </c>
      <c r="D11" s="55">
        <v>58</v>
      </c>
      <c r="E11" s="50">
        <f>D11*3771</f>
        <v>218718</v>
      </c>
      <c r="F11" s="55">
        <v>74</v>
      </c>
      <c r="G11" s="50">
        <f>F11*5053</f>
        <v>373922</v>
      </c>
      <c r="H11" s="50">
        <f>C11+E11+G11</f>
        <v>784610</v>
      </c>
      <c r="I11" s="50">
        <f>H11*0.017</f>
        <v>13338.37</v>
      </c>
      <c r="J11" s="51">
        <f>H11+I11</f>
        <v>797948.37</v>
      </c>
      <c r="K11" s="52">
        <f>J11*0.995</f>
        <v>793958.62815</v>
      </c>
      <c r="L11" s="52">
        <f>J11*0.5%</f>
        <v>3989.74185</v>
      </c>
      <c r="M11" s="53">
        <f>J11-L11</f>
        <v>793958.62815</v>
      </c>
    </row>
    <row r="12" spans="1:13" s="56" customFormat="1" ht="51.75" customHeight="1">
      <c r="A12" s="49" t="s">
        <v>41</v>
      </c>
      <c r="B12" s="55">
        <v>4</v>
      </c>
      <c r="C12" s="50">
        <f>B12*19197</f>
        <v>76788</v>
      </c>
      <c r="D12" s="50">
        <v>104</v>
      </c>
      <c r="E12" s="50">
        <f>D12*3771</f>
        <v>392184</v>
      </c>
      <c r="F12" s="55">
        <v>0</v>
      </c>
      <c r="G12" s="50">
        <f>F12*5053</f>
        <v>0</v>
      </c>
      <c r="H12" s="50">
        <f>C12+E12+G12</f>
        <v>468972</v>
      </c>
      <c r="I12" s="50">
        <f>H12*0.017</f>
        <v>7972.524</v>
      </c>
      <c r="J12" s="51">
        <f>H12+I12</f>
        <v>476944.524</v>
      </c>
      <c r="K12" s="52">
        <f>J12*0.995</f>
        <v>474559.80137999996</v>
      </c>
      <c r="L12" s="52">
        <f>J12*0.5%</f>
        <v>2384.72262</v>
      </c>
      <c r="M12" s="53">
        <f>J12-L12</f>
        <v>474559.80137999996</v>
      </c>
    </row>
    <row r="13" spans="1:13" s="3" customFormat="1" ht="12.75">
      <c r="A13" s="57"/>
      <c r="B13" s="58">
        <f aca="true" t="shared" si="0" ref="B13:M13">SUM(B10:B12)</f>
        <v>15</v>
      </c>
      <c r="C13" s="59">
        <f t="shared" si="0"/>
        <v>287955</v>
      </c>
      <c r="D13" s="60">
        <f t="shared" si="0"/>
        <v>180</v>
      </c>
      <c r="E13" s="61">
        <f t="shared" si="0"/>
        <v>678780</v>
      </c>
      <c r="F13" s="60">
        <f t="shared" si="0"/>
        <v>74</v>
      </c>
      <c r="G13" s="61">
        <f t="shared" si="0"/>
        <v>373922</v>
      </c>
      <c r="H13" s="61">
        <f t="shared" si="0"/>
        <v>1340657</v>
      </c>
      <c r="I13" s="61">
        <f t="shared" si="0"/>
        <v>22791.169</v>
      </c>
      <c r="J13" s="62">
        <f t="shared" si="0"/>
        <v>1363448.169</v>
      </c>
      <c r="K13" s="61">
        <f t="shared" si="0"/>
        <v>1356630.9281549999</v>
      </c>
      <c r="L13" s="63">
        <f t="shared" si="0"/>
        <v>6817.240845</v>
      </c>
      <c r="M13" s="53">
        <f t="shared" si="0"/>
        <v>1356630.9281549999</v>
      </c>
    </row>
    <row r="14" spans="1:12" ht="12.75">
      <c r="A14" s="45"/>
      <c r="B14" s="45"/>
      <c r="L14" s="44"/>
    </row>
    <row r="15" spans="1:12" ht="12.75">
      <c r="A15" s="45"/>
      <c r="B15" s="45"/>
      <c r="L15" s="44"/>
    </row>
    <row r="16" spans="1:5" ht="12.75">
      <c r="A16" s="45"/>
      <c r="B16" s="45"/>
      <c r="E16" s="45"/>
    </row>
    <row r="17" ht="12.75">
      <c r="A17" s="45"/>
    </row>
    <row r="18" ht="12.75">
      <c r="A18" s="64"/>
    </row>
    <row r="19" ht="12.75">
      <c r="A19" s="64"/>
    </row>
    <row r="20" ht="12.75">
      <c r="A20" s="64"/>
    </row>
    <row r="21" ht="12.75">
      <c r="A21" s="64"/>
    </row>
    <row r="22" ht="12.75">
      <c r="A22" s="64"/>
    </row>
    <row r="24" ht="12.75" customHeight="1">
      <c r="A24" s="45"/>
    </row>
    <row r="25" ht="12.75" customHeight="1">
      <c r="A25" s="45"/>
    </row>
    <row r="26" ht="12.75" customHeight="1"/>
    <row r="29" ht="12.75">
      <c r="A29" s="48"/>
    </row>
    <row r="30" ht="12.75">
      <c r="A30" s="3"/>
    </row>
    <row r="31" ht="12.75">
      <c r="A31" s="3"/>
    </row>
    <row r="32" ht="12.75">
      <c r="A32" s="3"/>
    </row>
  </sheetData>
  <sheetProtection/>
  <mergeCells count="16">
    <mergeCell ref="D3:D8"/>
    <mergeCell ref="E3:E8"/>
    <mergeCell ref="F3:F8"/>
    <mergeCell ref="G3:G8"/>
    <mergeCell ref="H3:H8"/>
    <mergeCell ref="I3:I8"/>
    <mergeCell ref="K7:K8"/>
    <mergeCell ref="L7:L8"/>
    <mergeCell ref="A1:M1"/>
    <mergeCell ref="J3:J8"/>
    <mergeCell ref="K3:K6"/>
    <mergeCell ref="L3:L6"/>
    <mergeCell ref="M3:M8"/>
    <mergeCell ref="A3:A8"/>
    <mergeCell ref="B3:B8"/>
    <mergeCell ref="C3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6.00390625" style="0" bestFit="1" customWidth="1"/>
    <col min="2" max="2" width="7.28125" style="0" customWidth="1"/>
    <col min="3" max="3" width="3.28125" style="0" bestFit="1" customWidth="1"/>
    <col min="5" max="5" width="3.28125" style="0" bestFit="1" customWidth="1"/>
    <col min="6" max="6" width="6.57421875" style="0" bestFit="1" customWidth="1"/>
    <col min="8" max="8" width="5.7109375" style="0" bestFit="1" customWidth="1"/>
    <col min="10" max="10" width="3.28125" style="0" bestFit="1" customWidth="1"/>
    <col min="12" max="12" width="6.57421875" style="0" customWidth="1"/>
    <col min="13" max="13" width="9.7109375" style="0" customWidth="1"/>
    <col min="14" max="14" width="20.421875" style="0" customWidth="1"/>
    <col min="15" max="15" width="6.8515625" style="0" customWidth="1"/>
    <col min="16" max="18" width="9.7109375" style="0" customWidth="1"/>
  </cols>
  <sheetData>
    <row r="1" spans="1:12" ht="37.5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65"/>
      <c r="K1" s="65"/>
      <c r="L1" s="65"/>
    </row>
    <row r="2" spans="1:12" ht="37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5"/>
      <c r="K2" s="65"/>
      <c r="L2" s="65"/>
    </row>
    <row r="3" spans="1:12" ht="37.5" customHeight="1">
      <c r="A3" s="103" t="s">
        <v>47</v>
      </c>
      <c r="B3" s="105" t="s">
        <v>23</v>
      </c>
      <c r="C3" s="105" t="s">
        <v>48</v>
      </c>
      <c r="D3" s="107" t="s">
        <v>54</v>
      </c>
      <c r="E3" s="105" t="s">
        <v>49</v>
      </c>
      <c r="F3" s="105" t="s">
        <v>53</v>
      </c>
      <c r="G3" s="105" t="s">
        <v>15</v>
      </c>
      <c r="H3" s="107" t="s">
        <v>16</v>
      </c>
      <c r="I3" s="105" t="s">
        <v>50</v>
      </c>
      <c r="J3" s="67"/>
      <c r="K3" s="67"/>
      <c r="L3" s="67"/>
    </row>
    <row r="4" spans="1:9" ht="58.5" customHeight="1">
      <c r="A4" s="104"/>
      <c r="B4" s="106"/>
      <c r="C4" s="106"/>
      <c r="D4" s="108"/>
      <c r="E4" s="106"/>
      <c r="F4" s="106"/>
      <c r="G4" s="106"/>
      <c r="H4" s="108"/>
      <c r="I4" s="106"/>
    </row>
    <row r="5" spans="1:9" ht="51" customHeight="1">
      <c r="A5" s="104"/>
      <c r="B5" s="106"/>
      <c r="C5" s="106"/>
      <c r="D5" s="108"/>
      <c r="E5" s="106"/>
      <c r="F5" s="106"/>
      <c r="G5" s="106"/>
      <c r="H5" s="108"/>
      <c r="I5" s="106"/>
    </row>
    <row r="6" spans="1:10" ht="24.75" customHeight="1">
      <c r="A6" s="68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t="s">
        <v>17</v>
      </c>
    </row>
    <row r="7" spans="1:13" ht="24.75" customHeight="1" thickBot="1">
      <c r="A7" s="77" t="s">
        <v>51</v>
      </c>
      <c r="B7" s="70">
        <v>86900</v>
      </c>
      <c r="C7" s="71">
        <v>6</v>
      </c>
      <c r="D7" s="70">
        <f>C7*19296</f>
        <v>115776</v>
      </c>
      <c r="E7" s="71">
        <v>34</v>
      </c>
      <c r="F7" s="70">
        <f>E7*10389</f>
        <v>353226</v>
      </c>
      <c r="G7" s="70">
        <f>B7+D7+F7</f>
        <v>555902</v>
      </c>
      <c r="H7" s="70">
        <f>G7*0.017</f>
        <v>9450.334</v>
      </c>
      <c r="I7" s="72">
        <f>G7+H7</f>
        <v>565352.334</v>
      </c>
      <c r="K7" s="73"/>
      <c r="L7" s="74"/>
      <c r="M7" s="73"/>
    </row>
    <row r="8" spans="5:13" ht="12.75">
      <c r="E8" s="75"/>
      <c r="J8" s="75"/>
      <c r="M8" s="75"/>
    </row>
    <row r="9" ht="12.75">
      <c r="A9" s="45"/>
    </row>
    <row r="10" spans="1:1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4" ht="12.75">
      <c r="A11" s="45"/>
      <c r="K11" s="75"/>
      <c r="N11" s="48"/>
    </row>
    <row r="12" ht="12.75">
      <c r="A12" s="64"/>
    </row>
    <row r="13" ht="12.75">
      <c r="A13" s="64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7">
      <selection activeCell="G5" sqref="G5"/>
    </sheetView>
  </sheetViews>
  <sheetFormatPr defaultColWidth="9.140625" defaultRowHeight="12.75"/>
  <cols>
    <col min="1" max="1" width="24.421875" style="0" bestFit="1" customWidth="1"/>
    <col min="2" max="2" width="26.140625" style="0" customWidth="1"/>
    <col min="3" max="3" width="25.140625" style="0" customWidth="1"/>
    <col min="4" max="4" width="9.421875" style="0" customWidth="1"/>
    <col min="5" max="5" width="16.140625" style="0" customWidth="1"/>
    <col min="7" max="7" width="11.28125" style="0" customWidth="1"/>
  </cols>
  <sheetData>
    <row r="1" spans="1:5" ht="15.75" customHeight="1">
      <c r="A1" s="116" t="s">
        <v>61</v>
      </c>
      <c r="B1" s="116"/>
      <c r="C1" s="116"/>
      <c r="D1" s="116"/>
      <c r="E1" s="116"/>
    </row>
    <row r="2" spans="1:5" ht="29.25" customHeight="1">
      <c r="A2" s="109" t="s">
        <v>0</v>
      </c>
      <c r="B2" s="111" t="s">
        <v>55</v>
      </c>
      <c r="C2" s="112"/>
      <c r="D2" s="113"/>
      <c r="E2" s="114" t="s">
        <v>56</v>
      </c>
    </row>
    <row r="3" spans="1:5" ht="195.75" customHeight="1">
      <c r="A3" s="110"/>
      <c r="B3" s="79" t="s">
        <v>57</v>
      </c>
      <c r="C3" s="79" t="s">
        <v>58</v>
      </c>
      <c r="D3" s="79" t="s">
        <v>59</v>
      </c>
      <c r="E3" s="115"/>
    </row>
    <row r="4" spans="1:5" ht="17.25" customHeight="1">
      <c r="A4" s="78">
        <v>1</v>
      </c>
      <c r="B4" s="78">
        <v>2</v>
      </c>
      <c r="C4" s="78">
        <v>3</v>
      </c>
      <c r="D4" s="78">
        <v>4</v>
      </c>
      <c r="E4" s="78">
        <v>5</v>
      </c>
    </row>
    <row r="5" spans="1:5" ht="24.75" customHeight="1">
      <c r="A5" s="80" t="s">
        <v>10</v>
      </c>
      <c r="B5" s="81">
        <v>25</v>
      </c>
      <c r="C5" s="81">
        <v>18</v>
      </c>
      <c r="D5" s="82"/>
      <c r="E5" s="83">
        <f>SUM(B5*100)+(C5*112)</f>
        <v>4516</v>
      </c>
    </row>
    <row r="6" spans="1:5" ht="24.75" customHeight="1">
      <c r="A6" s="80" t="s">
        <v>11</v>
      </c>
      <c r="B6" s="82"/>
      <c r="C6" s="81">
        <v>140</v>
      </c>
      <c r="D6" s="82"/>
      <c r="E6" s="83">
        <f>SUM(B6*100)+(C6*112)</f>
        <v>15680</v>
      </c>
    </row>
    <row r="7" spans="1:5" ht="24.75" customHeight="1">
      <c r="A7" s="80" t="s">
        <v>9</v>
      </c>
      <c r="B7" s="81">
        <v>396</v>
      </c>
      <c r="C7" s="81">
        <v>104</v>
      </c>
      <c r="D7" s="82"/>
      <c r="E7" s="83">
        <f>SUM(B7*100)+(C7*112)</f>
        <v>51248</v>
      </c>
    </row>
    <row r="8" spans="1:8" ht="24.75" customHeight="1">
      <c r="A8" s="84" t="s">
        <v>60</v>
      </c>
      <c r="B8" s="81">
        <v>15</v>
      </c>
      <c r="C8" s="81"/>
      <c r="D8" s="81"/>
      <c r="E8" s="83">
        <f>SUM(B8*100)+(C8*112)</f>
        <v>1500</v>
      </c>
      <c r="G8" s="45"/>
      <c r="H8" s="45"/>
    </row>
    <row r="9" spans="1:8" ht="24.75" customHeight="1">
      <c r="A9" s="80" t="s">
        <v>12</v>
      </c>
      <c r="B9" s="81">
        <f>SUM(B5:B8)</f>
        <v>436</v>
      </c>
      <c r="C9" s="81">
        <f>SUM(C5:C8)</f>
        <v>262</v>
      </c>
      <c r="D9" s="81">
        <f>SUM(D5:D8)</f>
        <v>0</v>
      </c>
      <c r="E9" s="85">
        <f>SUM(E5:E8)</f>
        <v>72944</v>
      </c>
      <c r="G9" s="44"/>
      <c r="H9" s="44"/>
    </row>
    <row r="11" ht="12.75">
      <c r="A11" s="86"/>
    </row>
    <row r="12" ht="12.75">
      <c r="A12" s="45"/>
    </row>
    <row r="13" ht="12.75">
      <c r="B13" s="87"/>
    </row>
  </sheetData>
  <sheetProtection/>
  <mergeCells count="4">
    <mergeCell ref="A2:A3"/>
    <mergeCell ref="B2:D2"/>
    <mergeCell ref="E2:E3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vsabeva</dc:creator>
  <cp:keywords/>
  <dc:description/>
  <cp:lastModifiedBy>Катя Робова</cp:lastModifiedBy>
  <cp:lastPrinted>2023-07-04T08:57:38Z</cp:lastPrinted>
  <dcterms:created xsi:type="dcterms:W3CDTF">2014-02-11T14:12:34Z</dcterms:created>
  <dcterms:modified xsi:type="dcterms:W3CDTF">2023-09-29T07:14:33Z</dcterms:modified>
  <cp:category/>
  <cp:version/>
  <cp:contentType/>
  <cp:contentStatus/>
</cp:coreProperties>
</file>